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https://fcagovts.sharepoint.com/sites/FCAGBoard-BudgetandFinance/Shared Documents/Budget and Finance/Budget &amp; Reporting/budgets/FY27/"/>
    </mc:Choice>
  </mc:AlternateContent>
  <xr:revisionPtr revIDLastSave="163" documentId="14_{FF7C98B6-2DED-4F1A-ADCE-B8CD667F56B9}" xr6:coauthVersionLast="47" xr6:coauthVersionMax="47" xr10:uidLastSave="{BC1FC050-9858-4B2A-BCE2-86FB73E62600}"/>
  <bookViews>
    <workbookView xWindow="-240" yWindow="-16320" windowWidth="29040" windowHeight="15720" tabRatio="422" xr2:uid="{73A3579E-8C1C-42B4-AC6F-9A3802E34416}"/>
  </bookViews>
  <sheets>
    <sheet name="Summary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6" i="2" l="1"/>
  <c r="M26" i="2"/>
  <c r="N26" i="2"/>
  <c r="O26" i="2"/>
  <c r="P26" i="2"/>
  <c r="L26" i="2"/>
  <c r="Q25" i="2"/>
  <c r="B26" i="2"/>
  <c r="C26" i="2"/>
  <c r="C25" i="2"/>
  <c r="R29" i="2"/>
  <c r="C18" i="2"/>
  <c r="C13" i="2"/>
  <c r="C12" i="2"/>
  <c r="C6" i="2"/>
  <c r="P6" i="2"/>
  <c r="Q6" i="2"/>
  <c r="R6" i="2"/>
  <c r="R9" i="2"/>
  <c r="R12" i="2"/>
  <c r="R15" i="2"/>
  <c r="R18" i="2"/>
  <c r="Q21" i="2"/>
  <c r="R21" i="2"/>
  <c r="R26" i="2"/>
  <c r="R25" i="2"/>
  <c r="L25" i="2"/>
  <c r="K26" i="2"/>
  <c r="K25" i="2"/>
  <c r="F26" i="2"/>
  <c r="F25" i="2"/>
  <c r="E26" i="2"/>
  <c r="E25" i="2"/>
  <c r="D26" i="2"/>
  <c r="D25" i="2"/>
  <c r="B25" i="2"/>
  <c r="D15" i="2"/>
  <c r="Q9" i="2"/>
  <c r="P9" i="2"/>
  <c r="P24" i="2" s="1"/>
  <c r="O9" i="2"/>
  <c r="N9" i="2"/>
  <c r="M9" i="2"/>
  <c r="K9" i="2"/>
  <c r="F9" i="2"/>
  <c r="F24" i="2" s="1"/>
  <c r="D9" i="2"/>
  <c r="D24" i="2" s="1"/>
  <c r="C9" i="2"/>
  <c r="B24" i="2"/>
  <c r="C24" i="2"/>
  <c r="E24" i="2"/>
  <c r="Q24" i="2"/>
  <c r="O24" i="2"/>
  <c r="O27" i="2" s="1"/>
  <c r="N24" i="2"/>
  <c r="M24" i="2"/>
  <c r="M27" i="2" s="1"/>
  <c r="L24" i="2"/>
  <c r="K24" i="2"/>
  <c r="N27" i="2" l="1"/>
  <c r="L27" i="2"/>
  <c r="L29" i="2" s="1"/>
  <c r="P25" i="2"/>
  <c r="P27" i="2"/>
  <c r="M25" i="2"/>
  <c r="K27" i="2"/>
  <c r="R24" i="2"/>
  <c r="N25" i="2"/>
  <c r="C17" i="2"/>
  <c r="E15" i="2"/>
  <c r="D13" i="2"/>
  <c r="F13" i="2"/>
  <c r="C16" i="2"/>
  <c r="Q3" i="2"/>
  <c r="Q13" i="2" s="1"/>
  <c r="F22" i="2"/>
  <c r="E22" i="2"/>
  <c r="D22" i="2"/>
  <c r="C22" i="2"/>
  <c r="D19" i="2"/>
  <c r="C19" i="2"/>
  <c r="L16" i="2"/>
  <c r="F16" i="2"/>
  <c r="D16" i="2"/>
  <c r="P10" i="2"/>
  <c r="N10" i="2"/>
  <c r="M10" i="2"/>
  <c r="K10" i="2"/>
  <c r="F10" i="2"/>
  <c r="D10" i="2"/>
  <c r="C10" i="2"/>
  <c r="P7" i="2"/>
  <c r="N7" i="2"/>
  <c r="M7" i="2"/>
  <c r="K7" i="2"/>
  <c r="F7" i="2"/>
  <c r="D7" i="2"/>
  <c r="C7" i="2"/>
  <c r="C4" i="2"/>
  <c r="E4" i="2"/>
  <c r="F4" i="2"/>
  <c r="G4" i="2"/>
  <c r="H4" i="2"/>
  <c r="I4" i="2"/>
  <c r="J4" i="2"/>
  <c r="K4" i="2"/>
  <c r="L4" i="2"/>
  <c r="M4" i="2"/>
  <c r="N4" i="2"/>
  <c r="O4" i="2"/>
  <c r="P4" i="2"/>
  <c r="D4" i="2"/>
  <c r="C27" i="2" l="1"/>
  <c r="C29" i="2" s="1"/>
  <c r="Q22" i="2"/>
  <c r="Q10" i="2"/>
  <c r="Q16" i="2"/>
  <c r="R13" i="2"/>
  <c r="Q7" i="2"/>
  <c r="R7" i="2" s="1"/>
  <c r="R16" i="2"/>
  <c r="Q4" i="2"/>
  <c r="R4" i="2" s="1"/>
  <c r="B27" i="2" l="1"/>
  <c r="B29" i="2" s="1"/>
  <c r="D17" i="2"/>
  <c r="F17" i="2"/>
  <c r="F15" i="2" s="1"/>
  <c r="E17" i="2"/>
  <c r="L17" i="2"/>
  <c r="L15" i="2" s="1"/>
  <c r="N14" i="2"/>
  <c r="N12" i="2" s="1"/>
  <c r="D14" i="2"/>
  <c r="D12" i="2" s="1"/>
  <c r="F14" i="2"/>
  <c r="F12" i="2" s="1"/>
  <c r="Q11" i="2"/>
  <c r="C15" i="2"/>
  <c r="Q14" i="2"/>
  <c r="Q12" i="2" s="1"/>
  <c r="Q17" i="2"/>
  <c r="Q15" i="2" s="1"/>
  <c r="C14" i="2"/>
  <c r="Q8" i="2"/>
  <c r="P23" i="2"/>
  <c r="P21" i="2" s="1"/>
  <c r="M23" i="2"/>
  <c r="M21" i="2" s="1"/>
  <c r="K23" i="2"/>
  <c r="K21" i="2" s="1"/>
  <c r="J23" i="2"/>
  <c r="J21" i="2" s="1"/>
  <c r="I23" i="2"/>
  <c r="I21" i="2" s="1"/>
  <c r="H23" i="2"/>
  <c r="H21" i="2" s="1"/>
  <c r="O23" i="2"/>
  <c r="O21" i="2" s="1"/>
  <c r="G23" i="2"/>
  <c r="G21" i="2" s="1"/>
  <c r="N23" i="2"/>
  <c r="N21" i="2" s="1"/>
  <c r="L14" i="2"/>
  <c r="L12" i="2" s="1"/>
  <c r="O14" i="2"/>
  <c r="O12" i="2" s="1"/>
  <c r="P14" i="2"/>
  <c r="P12" i="2" s="1"/>
  <c r="M14" i="2"/>
  <c r="M12" i="2" s="1"/>
  <c r="K14" i="2"/>
  <c r="K12" i="2" s="1"/>
  <c r="J14" i="2"/>
  <c r="J12" i="2" s="1"/>
  <c r="Q20" i="2"/>
  <c r="Q18" i="2" s="1"/>
  <c r="P20" i="2"/>
  <c r="P18" i="2" s="1"/>
  <c r="O20" i="2"/>
  <c r="O18" i="2" s="1"/>
  <c r="N20" i="2"/>
  <c r="N18" i="2" s="1"/>
  <c r="M20" i="2"/>
  <c r="M18" i="2" s="1"/>
  <c r="L20" i="2"/>
  <c r="L18" i="2" s="1"/>
  <c r="K20" i="2"/>
  <c r="K18" i="2" s="1"/>
  <c r="J20" i="2"/>
  <c r="J18" i="2" s="1"/>
  <c r="E14" i="2"/>
  <c r="E12" i="2" s="1"/>
  <c r="I20" i="2"/>
  <c r="I18" i="2" s="1"/>
  <c r="H20" i="2"/>
  <c r="H18" i="2" s="1"/>
  <c r="G14" i="2"/>
  <c r="G12" i="2" s="1"/>
  <c r="G20" i="2"/>
  <c r="G18" i="2" s="1"/>
  <c r="H14" i="2"/>
  <c r="H12" i="2" s="1"/>
  <c r="F20" i="2"/>
  <c r="F18" i="2" s="1"/>
  <c r="I14" i="2"/>
  <c r="I12" i="2" s="1"/>
  <c r="E20" i="2"/>
  <c r="R10" i="2"/>
  <c r="J11" i="2"/>
  <c r="J9" i="2" s="1"/>
  <c r="E11" i="2"/>
  <c r="E9" i="2" s="1"/>
  <c r="F8" i="2"/>
  <c r="F6" i="2" s="1"/>
  <c r="D8" i="2"/>
  <c r="D6" i="2" s="1"/>
  <c r="N11" i="2"/>
  <c r="M11" i="2"/>
  <c r="K11" i="2"/>
  <c r="I11" i="2"/>
  <c r="I9" i="2" s="1"/>
  <c r="H11" i="2"/>
  <c r="H9" i="2" s="1"/>
  <c r="G11" i="2"/>
  <c r="G9" i="2" s="1"/>
  <c r="C8" i="2"/>
  <c r="E8" i="2"/>
  <c r="E6" i="2" s="1"/>
  <c r="G8" i="2"/>
  <c r="G6" i="2" s="1"/>
  <c r="I8" i="2"/>
  <c r="I6" i="2" s="1"/>
  <c r="K8" i="2"/>
  <c r="K6" i="2" s="1"/>
  <c r="P11" i="2"/>
  <c r="M8" i="2"/>
  <c r="M6" i="2" s="1"/>
  <c r="N8" i="2"/>
  <c r="N6" i="2" s="1"/>
  <c r="O8" i="2"/>
  <c r="O6" i="2" s="1"/>
  <c r="H8" i="2"/>
  <c r="H6" i="2" s="1"/>
  <c r="J8" i="2"/>
  <c r="J6" i="2" s="1"/>
  <c r="L8" i="2"/>
  <c r="L6" i="2" s="1"/>
  <c r="O11" i="2"/>
  <c r="P8" i="2"/>
  <c r="L11" i="2"/>
  <c r="L9" i="2" s="1"/>
  <c r="L22" i="2" s="1"/>
  <c r="D11" i="2" l="1"/>
  <c r="C11" i="2"/>
  <c r="F11" i="2"/>
  <c r="E18" i="2"/>
  <c r="L23" i="2"/>
  <c r="R22" i="2"/>
  <c r="R14" i="2"/>
  <c r="R8" i="2"/>
  <c r="R11" i="2"/>
  <c r="E23" i="2" l="1"/>
  <c r="E21" i="2" s="1"/>
  <c r="C23" i="2"/>
  <c r="C21" i="2" s="1"/>
  <c r="F23" i="2"/>
  <c r="F21" i="2" s="1"/>
  <c r="D23" i="2"/>
  <c r="D21" i="2" s="1"/>
  <c r="Q23" i="2"/>
  <c r="L21" i="2"/>
  <c r="P17" i="2"/>
  <c r="P15" i="2" s="1"/>
  <c r="M17" i="2"/>
  <c r="M15" i="2" s="1"/>
  <c r="F27" i="2" l="1"/>
  <c r="Q27" i="2"/>
  <c r="Q29" i="2" s="1"/>
  <c r="E27" i="2"/>
  <c r="R23" i="2"/>
  <c r="R19" i="2"/>
  <c r="I17" i="2"/>
  <c r="I15" i="2" s="1"/>
  <c r="G17" i="2"/>
  <c r="J17" i="2"/>
  <c r="J15" i="2" s="1"/>
  <c r="K17" i="2"/>
  <c r="K15" i="2" s="1"/>
  <c r="H17" i="2"/>
  <c r="H15" i="2" s="1"/>
  <c r="H24" i="2" s="1"/>
  <c r="H25" i="2" s="1"/>
  <c r="O17" i="2"/>
  <c r="O15" i="2" s="1"/>
  <c r="N17" i="2"/>
  <c r="N15" i="2" s="1"/>
  <c r="E29" i="2" l="1"/>
  <c r="K29" i="2"/>
  <c r="F29" i="2"/>
  <c r="C20" i="2"/>
  <c r="D20" i="2"/>
  <c r="D18" i="2" s="1"/>
  <c r="G15" i="2"/>
  <c r="G24" i="2" s="1"/>
  <c r="R17" i="2"/>
  <c r="P29" i="2"/>
  <c r="H26" i="2"/>
  <c r="H27" i="2" s="1"/>
  <c r="M29" i="2"/>
  <c r="O25" i="2"/>
  <c r="I24" i="2"/>
  <c r="I25" i="2" s="1"/>
  <c r="J24" i="2"/>
  <c r="J25" i="2" s="1"/>
  <c r="D27" i="2" l="1"/>
  <c r="D29" i="2" s="1"/>
  <c r="G26" i="2"/>
  <c r="G27" i="2" s="1"/>
  <c r="G25" i="2"/>
  <c r="R20" i="2"/>
  <c r="G29" i="2"/>
  <c r="I26" i="2"/>
  <c r="I27" i="2" s="1"/>
  <c r="J26" i="2"/>
  <c r="J27" i="2" s="1"/>
  <c r="N29" i="2"/>
  <c r="H29" i="2"/>
  <c r="R27" i="2" l="1"/>
  <c r="O29" i="2"/>
  <c r="J29" i="2"/>
  <c r="I29" i="2"/>
</calcChain>
</file>

<file path=xl/sharedStrings.xml><?xml version="1.0" encoding="utf-8"?>
<sst xmlns="http://schemas.openxmlformats.org/spreadsheetml/2006/main" count="46" uniqueCount="35">
  <si>
    <t>Local Subsidization Requests</t>
  </si>
  <si>
    <t>Cities</t>
  </si>
  <si>
    <t>Towns</t>
  </si>
  <si>
    <t>CDP's</t>
  </si>
  <si>
    <t>County</t>
  </si>
  <si>
    <t>Total Population</t>
  </si>
  <si>
    <t>Lander</t>
  </si>
  <si>
    <t>Riverton</t>
  </si>
  <si>
    <t>Dubois</t>
  </si>
  <si>
    <t>Hudson</t>
  </si>
  <si>
    <t>Pavillion</t>
  </si>
  <si>
    <t>Shoshoni</t>
  </si>
  <si>
    <t>Arapahoe</t>
  </si>
  <si>
    <t>Atlantic City</t>
  </si>
  <si>
    <t>Boulder Flats</t>
  </si>
  <si>
    <t>Crowheart</t>
  </si>
  <si>
    <t>Ethete</t>
  </si>
  <si>
    <t>Ft Washakie</t>
  </si>
  <si>
    <t>Jeffrey City</t>
  </si>
  <si>
    <t>Johnstown</t>
  </si>
  <si>
    <t>Fremont County</t>
  </si>
  <si>
    <t>Total</t>
  </si>
  <si>
    <t>Percentage of total FC Population</t>
  </si>
  <si>
    <t>Orange</t>
  </si>
  <si>
    <t>Population of beneficiaries</t>
  </si>
  <si>
    <t>Percentage of beneficiaries</t>
  </si>
  <si>
    <t>Purple</t>
  </si>
  <si>
    <t>Yellow</t>
  </si>
  <si>
    <t>Rodeo Roundup</t>
  </si>
  <si>
    <t>SafeRide</t>
  </si>
  <si>
    <t>Federal Share</t>
  </si>
  <si>
    <t>Local Local</t>
  </si>
  <si>
    <t>Total Request</t>
  </si>
  <si>
    <t>WRTA On-Demand</t>
  </si>
  <si>
    <t>WRTA Share (37%)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</si>
</sst>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(&quot;$&quot;* #,##0_);_(&quot;$&quot;* \(#,##0\);_(&quot;$&quot;* &quot;-&quot;_);_(@_)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B9B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5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8" borderId="0" xfId="0" applyFill="1" applyAlignment="1">
      <alignment horizontal="center"/>
    </xf>
    <xf numFmtId="10" fontId="0" fillId="5" borderId="0" xfId="0" applyNumberFormat="1" applyFill="1" applyAlignment="1">
      <alignment horizontal="center"/>
    </xf>
    <xf numFmtId="10" fontId="0" fillId="3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/>
    <xf numFmtId="0" fontId="1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10" fontId="0" fillId="4" borderId="0" xfId="0" applyNumberFormat="1" applyFill="1" applyAlignment="1">
      <alignment horizontal="center"/>
    </xf>
    <xf numFmtId="10" fontId="0" fillId="4" borderId="7" xfId="0" applyNumberFormat="1" applyFill="1" applyBorder="1" applyAlignment="1">
      <alignment horizontal="center"/>
    </xf>
    <xf numFmtId="0" fontId="0" fillId="0" borderId="7" xfId="0" applyBorder="1"/>
    <xf numFmtId="0" fontId="0" fillId="0" borderId="12" xfId="0" applyBorder="1"/>
    <xf numFmtId="0" fontId="0" fillId="6" borderId="7" xfId="0" applyFill="1" applyBorder="1" applyAlignment="1">
      <alignment horizontal="center"/>
    </xf>
    <xf numFmtId="10" fontId="0" fillId="6" borderId="7" xfId="0" applyNumberForma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10" fontId="0" fillId="4" borderId="12" xfId="0" applyNumberFormat="1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7" borderId="16" xfId="0" applyFill="1" applyBorder="1" applyAlignment="1">
      <alignment horizontal="center"/>
    </xf>
    <xf numFmtId="10" fontId="0" fillId="7" borderId="16" xfId="0" applyNumberFormat="1" applyFill="1" applyBorder="1" applyAlignment="1">
      <alignment horizontal="center"/>
    </xf>
    <xf numFmtId="0" fontId="0" fillId="0" borderId="11" xfId="0" applyBorder="1"/>
    <xf numFmtId="0" fontId="1" fillId="4" borderId="21" xfId="0" applyFont="1" applyFill="1" applyBorder="1"/>
    <xf numFmtId="0" fontId="1" fillId="4" borderId="23" xfId="0" applyFont="1" applyFill="1" applyBorder="1" applyAlignment="1">
      <alignment horizontal="center"/>
    </xf>
    <xf numFmtId="10" fontId="0" fillId="4" borderId="23" xfId="0" applyNumberForma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8" borderId="24" xfId="0" applyFill="1" applyBorder="1"/>
    <xf numFmtId="0" fontId="0" fillId="8" borderId="23" xfId="0" applyFill="1" applyBorder="1" applyAlignment="1">
      <alignment horizontal="center"/>
    </xf>
    <xf numFmtId="0" fontId="0" fillId="0" borderId="24" xfId="0" applyBorder="1"/>
    <xf numFmtId="0" fontId="0" fillId="0" borderId="23" xfId="0" applyBorder="1" applyAlignment="1">
      <alignment horizontal="center"/>
    </xf>
    <xf numFmtId="0" fontId="0" fillId="4" borderId="23" xfId="0" applyFill="1" applyBorder="1" applyAlignment="1">
      <alignment horizontal="center"/>
    </xf>
    <xf numFmtId="0" fontId="1" fillId="4" borderId="31" xfId="0" applyFont="1" applyFill="1" applyBorder="1" applyAlignment="1">
      <alignment horizontal="center"/>
    </xf>
    <xf numFmtId="42" fontId="0" fillId="6" borderId="7" xfId="0" applyNumberFormat="1" applyFill="1" applyBorder="1"/>
    <xf numFmtId="42" fontId="0" fillId="2" borderId="0" xfId="0" applyNumberFormat="1" applyFill="1"/>
    <xf numFmtId="42" fontId="0" fillId="7" borderId="16" xfId="0" applyNumberFormat="1" applyFill="1" applyBorder="1"/>
    <xf numFmtId="42" fontId="0" fillId="6" borderId="6" xfId="0" applyNumberFormat="1" applyFill="1" applyBorder="1"/>
    <xf numFmtId="42" fontId="0" fillId="2" borderId="29" xfId="0" applyNumberFormat="1" applyFill="1" applyBorder="1"/>
    <xf numFmtId="42" fontId="0" fillId="7" borderId="11" xfId="0" applyNumberFormat="1" applyFill="1" applyBorder="1"/>
    <xf numFmtId="42" fontId="0" fillId="6" borderId="8" xfId="0" applyNumberFormat="1" applyFill="1" applyBorder="1" applyAlignment="1">
      <alignment horizontal="center"/>
    </xf>
    <xf numFmtId="42" fontId="0" fillId="2" borderId="2" xfId="0" applyNumberFormat="1" applyFill="1" applyBorder="1" applyAlignment="1">
      <alignment horizontal="center"/>
    </xf>
    <xf numFmtId="42" fontId="0" fillId="7" borderId="17" xfId="0" applyNumberFormat="1" applyFill="1" applyBorder="1" applyAlignment="1">
      <alignment horizontal="center"/>
    </xf>
    <xf numFmtId="42" fontId="0" fillId="0" borderId="2" xfId="0" applyNumberFormat="1" applyBorder="1" applyAlignment="1">
      <alignment horizontal="center"/>
    </xf>
    <xf numFmtId="42" fontId="0" fillId="0" borderId="8" xfId="0" applyNumberFormat="1" applyBorder="1" applyAlignment="1">
      <alignment horizontal="center"/>
    </xf>
    <xf numFmtId="42" fontId="0" fillId="0" borderId="13" xfId="0" applyNumberFormat="1" applyBorder="1" applyAlignment="1">
      <alignment horizontal="center"/>
    </xf>
    <xf numFmtId="42" fontId="0" fillId="0" borderId="25" xfId="0" applyNumberFormat="1" applyBorder="1" applyAlignment="1">
      <alignment horizontal="center"/>
    </xf>
    <xf numFmtId="42" fontId="0" fillId="8" borderId="2" xfId="0" applyNumberFormat="1" applyFill="1" applyBorder="1" applyAlignment="1">
      <alignment horizontal="center"/>
    </xf>
    <xf numFmtId="42" fontId="0" fillId="8" borderId="8" xfId="0" applyNumberFormat="1" applyFill="1" applyBorder="1" applyAlignment="1">
      <alignment horizontal="center"/>
    </xf>
    <xf numFmtId="42" fontId="0" fillId="8" borderId="13" xfId="0" applyNumberFormat="1" applyFill="1" applyBorder="1" applyAlignment="1">
      <alignment horizontal="center"/>
    </xf>
    <xf numFmtId="42" fontId="0" fillId="8" borderId="25" xfId="0" applyNumberFormat="1" applyFill="1" applyBorder="1" applyAlignment="1">
      <alignment horizontal="center"/>
    </xf>
    <xf numFmtId="42" fontId="1" fillId="0" borderId="4" xfId="0" applyNumberFormat="1" applyFont="1" applyBorder="1"/>
    <xf numFmtId="42" fontId="1" fillId="0" borderId="10" xfId="0" applyNumberFormat="1" applyFont="1" applyBorder="1"/>
    <xf numFmtId="42" fontId="1" fillId="0" borderId="5" xfId="0" applyNumberFormat="1" applyFont="1" applyBorder="1"/>
    <xf numFmtId="42" fontId="0" fillId="5" borderId="0" xfId="0" applyNumberFormat="1" applyFill="1"/>
    <xf numFmtId="42" fontId="0" fillId="3" borderId="0" xfId="0" applyNumberFormat="1" applyFill="1"/>
    <xf numFmtId="0" fontId="1" fillId="7" borderId="17" xfId="0" applyFont="1" applyFill="1" applyBorder="1" applyAlignment="1">
      <alignment horizontal="center"/>
    </xf>
    <xf numFmtId="42" fontId="0" fillId="3" borderId="2" xfId="0" applyNumberFormat="1" applyFill="1" applyBorder="1" applyAlignment="1">
      <alignment horizontal="center"/>
    </xf>
    <xf numFmtId="42" fontId="0" fillId="3" borderId="29" xfId="0" applyNumberFormat="1" applyFill="1" applyBorder="1"/>
    <xf numFmtId="0" fontId="1" fillId="6" borderId="8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42" fontId="0" fillId="5" borderId="2" xfId="0" applyNumberFormat="1" applyFill="1" applyBorder="1" applyAlignment="1">
      <alignment horizontal="center"/>
    </xf>
    <xf numFmtId="42" fontId="0" fillId="5" borderId="29" xfId="0" applyNumberFormat="1" applyFill="1" applyBorder="1"/>
    <xf numFmtId="0" fontId="0" fillId="4" borderId="7" xfId="0" applyFill="1" applyBorder="1" applyAlignment="1">
      <alignment horizontal="center"/>
    </xf>
    <xf numFmtId="42" fontId="0" fillId="8" borderId="8" xfId="0" applyNumberFormat="1" applyFill="1" applyBorder="1"/>
    <xf numFmtId="0" fontId="0" fillId="8" borderId="7" xfId="0" applyFill="1" applyBorder="1" applyAlignment="1">
      <alignment horizontal="center"/>
    </xf>
    <xf numFmtId="42" fontId="0" fillId="0" borderId="8" xfId="0" applyNumberFormat="1" applyBorder="1"/>
    <xf numFmtId="0" fontId="0" fillId="0" borderId="7" xfId="0" applyBorder="1" applyAlignment="1">
      <alignment horizontal="center"/>
    </xf>
    <xf numFmtId="0" fontId="0" fillId="8" borderId="22" xfId="0" applyFill="1" applyBorder="1"/>
    <xf numFmtId="42" fontId="0" fillId="8" borderId="7" xfId="0" applyNumberFormat="1" applyFill="1" applyBorder="1"/>
    <xf numFmtId="0" fontId="0" fillId="8" borderId="28" xfId="0" applyFill="1" applyBorder="1"/>
    <xf numFmtId="42" fontId="0" fillId="8" borderId="6" xfId="0" applyNumberFormat="1" applyFill="1" applyBorder="1"/>
    <xf numFmtId="42" fontId="0" fillId="8" borderId="0" xfId="0" applyNumberFormat="1" applyFill="1"/>
    <xf numFmtId="42" fontId="0" fillId="8" borderId="12" xfId="0" applyNumberFormat="1" applyFill="1" applyBorder="1"/>
    <xf numFmtId="42" fontId="0" fillId="8" borderId="29" xfId="0" applyNumberFormat="1" applyFill="1" applyBorder="1"/>
    <xf numFmtId="42" fontId="0" fillId="8" borderId="25" xfId="0" applyNumberFormat="1" applyFill="1" applyBorder="1"/>
    <xf numFmtId="42" fontId="0" fillId="8" borderId="30" xfId="0" applyNumberFormat="1" applyFill="1" applyBorder="1"/>
    <xf numFmtId="42" fontId="1" fillId="5" borderId="15" xfId="0" applyNumberFormat="1" applyFont="1" applyFill="1" applyBorder="1"/>
    <xf numFmtId="42" fontId="1" fillId="6" borderId="10" xfId="0" applyNumberFormat="1" applyFont="1" applyFill="1" applyBorder="1"/>
    <xf numFmtId="42" fontId="1" fillId="3" borderId="15" xfId="0" applyNumberFormat="1" applyFont="1" applyFill="1" applyBorder="1"/>
    <xf numFmtId="42" fontId="1" fillId="2" borderId="4" xfId="0" applyNumberFormat="1" applyFont="1" applyFill="1" applyBorder="1"/>
    <xf numFmtId="42" fontId="1" fillId="7" borderId="4" xfId="0" applyNumberFormat="1" applyFont="1" applyFill="1" applyBorder="1"/>
    <xf numFmtId="9" fontId="0" fillId="5" borderId="0" xfId="0" applyNumberFormat="1" applyFill="1" applyAlignment="1">
      <alignment horizontal="center"/>
    </xf>
    <xf numFmtId="9" fontId="0" fillId="6" borderId="7" xfId="0" applyNumberFormat="1" applyFill="1" applyBorder="1" applyAlignment="1">
      <alignment horizontal="center"/>
    </xf>
    <xf numFmtId="9" fontId="0" fillId="3" borderId="0" xfId="0" applyNumberFormat="1" applyFill="1" applyAlignment="1">
      <alignment horizontal="center"/>
    </xf>
    <xf numFmtId="9" fontId="0" fillId="2" borderId="0" xfId="0" applyNumberFormat="1" applyFill="1" applyAlignment="1">
      <alignment horizontal="center"/>
    </xf>
    <xf numFmtId="9" fontId="0" fillId="4" borderId="0" xfId="0" applyNumberFormat="1" applyFill="1" applyAlignment="1">
      <alignment horizontal="center"/>
    </xf>
    <xf numFmtId="9" fontId="0" fillId="4" borderId="7" xfId="0" applyNumberFormat="1" applyFill="1" applyBorder="1" applyAlignment="1">
      <alignment horizontal="center"/>
    </xf>
    <xf numFmtId="9" fontId="0" fillId="4" borderId="12" xfId="0" applyNumberFormat="1" applyFill="1" applyBorder="1" applyAlignment="1">
      <alignment horizontal="center"/>
    </xf>
    <xf numFmtId="9" fontId="0" fillId="7" borderId="16" xfId="0" applyNumberFormat="1" applyFill="1" applyBorder="1" applyAlignment="1">
      <alignment horizontal="center"/>
    </xf>
    <xf numFmtId="9" fontId="0" fillId="8" borderId="0" xfId="0" applyNumberFormat="1" applyFill="1" applyAlignment="1">
      <alignment horizontal="center"/>
    </xf>
    <xf numFmtId="9" fontId="0" fillId="8" borderId="7" xfId="0" applyNumberFormat="1" applyFill="1" applyBorder="1" applyAlignment="1">
      <alignment horizontal="center"/>
    </xf>
    <xf numFmtId="9" fontId="0" fillId="8" borderId="12" xfId="0" applyNumberFormat="1" applyFill="1" applyBorder="1" applyAlignment="1">
      <alignment horizontal="center"/>
    </xf>
    <xf numFmtId="9" fontId="0" fillId="8" borderId="23" xfId="0" applyNumberFormat="1" applyFill="1" applyBorder="1"/>
    <xf numFmtId="9" fontId="0" fillId="5" borderId="1" xfId="0" applyNumberFormat="1" applyFill="1" applyBorder="1" applyAlignment="1">
      <alignment horizontal="center"/>
    </xf>
    <xf numFmtId="9" fontId="0" fillId="6" borderId="9" xfId="0" applyNumberFormat="1" applyFill="1" applyBorder="1" applyAlignment="1">
      <alignment horizontal="center"/>
    </xf>
    <xf numFmtId="9" fontId="0" fillId="3" borderId="1" xfId="0" applyNumberFormat="1" applyFill="1" applyBorder="1" applyAlignment="1">
      <alignment horizontal="center"/>
    </xf>
    <xf numFmtId="9" fontId="0" fillId="2" borderId="1" xfId="0" applyNumberFormat="1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9" fontId="0" fillId="0" borderId="9" xfId="0" applyNumberFormat="1" applyBorder="1" applyAlignment="1">
      <alignment horizontal="center"/>
    </xf>
    <xf numFmtId="9" fontId="0" fillId="0" borderId="14" xfId="0" applyNumberFormat="1" applyBorder="1" applyAlignment="1">
      <alignment horizontal="center"/>
    </xf>
    <xf numFmtId="9" fontId="0" fillId="7" borderId="18" xfId="0" applyNumberFormat="1" applyFill="1" applyBorder="1" applyAlignment="1">
      <alignment horizontal="center"/>
    </xf>
    <xf numFmtId="9" fontId="0" fillId="0" borderId="27" xfId="0" applyNumberFormat="1" applyBorder="1"/>
    <xf numFmtId="9" fontId="0" fillId="8" borderId="1" xfId="0" applyNumberFormat="1" applyFill="1" applyBorder="1" applyAlignment="1">
      <alignment horizontal="center"/>
    </xf>
    <xf numFmtId="9" fontId="0" fillId="8" borderId="9" xfId="0" applyNumberFormat="1" applyFill="1" applyBorder="1" applyAlignment="1">
      <alignment horizontal="center"/>
    </xf>
    <xf numFmtId="9" fontId="0" fillId="8" borderId="14" xfId="0" applyNumberFormat="1" applyFill="1" applyBorder="1" applyAlignment="1">
      <alignment horizontal="center"/>
    </xf>
    <xf numFmtId="9" fontId="0" fillId="8" borderId="27" xfId="0" applyNumberFormat="1" applyFill="1" applyBorder="1"/>
    <xf numFmtId="42" fontId="1" fillId="7" borderId="15" xfId="0" applyNumberFormat="1" applyFont="1" applyFill="1" applyBorder="1"/>
    <xf numFmtId="42" fontId="1" fillId="7" borderId="10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8" borderId="22" xfId="0" applyFill="1" applyBorder="1" applyAlignment="1">
      <alignment horizontal="center"/>
    </xf>
    <xf numFmtId="0" fontId="0" fillId="8" borderId="7" xfId="0" applyFill="1" applyBorder="1" applyAlignment="1">
      <alignment horizontal="center"/>
    </xf>
    <xf numFmtId="0" fontId="0" fillId="8" borderId="26" xfId="0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3" xfId="0" applyFon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B9B9"/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B6F3A-F3D3-4AA3-A013-D02D4D6273EF}">
  <sheetPr>
    <pageSetUpPr fitToPage="1"/>
  </sheetPr>
  <dimension ref="A1:R29"/>
  <sheetViews>
    <sheetView tabSelected="1" zoomScale="115" zoomScaleNormal="115" workbookViewId="0">
      <selection activeCell="D31" sqref="D31"/>
    </sheetView>
  </sheetViews>
  <sheetFormatPr defaultRowHeight="15" x14ac:dyDescent="0.25"/>
  <cols>
    <col min="1" max="1" width="19.85546875" bestFit="1" customWidth="1"/>
    <col min="2" max="2" width="16.85546875" customWidth="1"/>
    <col min="3" max="4" width="12.5703125" bestFit="1" customWidth="1"/>
    <col min="5" max="6" width="11.5703125" bestFit="1" customWidth="1"/>
    <col min="7" max="7" width="9.28515625" bestFit="1" customWidth="1"/>
    <col min="8" max="8" width="9.5703125" bestFit="1" customWidth="1"/>
    <col min="9" max="9" width="9.42578125" customWidth="1"/>
    <col min="10" max="10" width="11.7109375" bestFit="1" customWidth="1"/>
    <col min="11" max="11" width="12.7109375" bestFit="1" customWidth="1"/>
    <col min="12" max="12" width="10.42578125" bestFit="1" customWidth="1"/>
    <col min="13" max="13" width="11.5703125" bestFit="1" customWidth="1"/>
    <col min="14" max="14" width="11.7109375" bestFit="1" customWidth="1"/>
    <col min="15" max="16" width="10.28515625" customWidth="1"/>
    <col min="17" max="17" width="15.140625" bestFit="1" customWidth="1"/>
    <col min="18" max="18" width="14.28515625" bestFit="1" customWidth="1"/>
  </cols>
  <sheetData>
    <row r="1" spans="1:18" x14ac:dyDescent="0.25">
      <c r="A1" s="127" t="s">
        <v>0</v>
      </c>
      <c r="B1" s="128"/>
      <c r="C1" s="122" t="s">
        <v>1</v>
      </c>
      <c r="D1" s="124"/>
      <c r="E1" s="122" t="s">
        <v>2</v>
      </c>
      <c r="F1" s="123"/>
      <c r="G1" s="123"/>
      <c r="H1" s="124"/>
      <c r="I1" s="122" t="s">
        <v>3</v>
      </c>
      <c r="J1" s="123"/>
      <c r="K1" s="123"/>
      <c r="L1" s="123"/>
      <c r="M1" s="123"/>
      <c r="N1" s="123"/>
      <c r="O1" s="123"/>
      <c r="P1" s="124"/>
      <c r="Q1" s="38" t="s">
        <v>4</v>
      </c>
      <c r="R1" s="29"/>
    </row>
    <row r="2" spans="1:18" x14ac:dyDescent="0.25">
      <c r="A2" s="125" t="s">
        <v>5</v>
      </c>
      <c r="B2" s="126"/>
      <c r="C2" s="65" t="s">
        <v>6</v>
      </c>
      <c r="D2" s="64" t="s">
        <v>7</v>
      </c>
      <c r="E2" s="10" t="s">
        <v>8</v>
      </c>
      <c r="F2" s="11" t="s">
        <v>9</v>
      </c>
      <c r="G2" s="12" t="s">
        <v>10</v>
      </c>
      <c r="H2" s="13" t="s">
        <v>11</v>
      </c>
      <c r="I2" s="21" t="s">
        <v>12</v>
      </c>
      <c r="J2" s="12" t="s">
        <v>13</v>
      </c>
      <c r="K2" s="12" t="s">
        <v>14</v>
      </c>
      <c r="L2" s="12" t="s">
        <v>15</v>
      </c>
      <c r="M2" s="12" t="s">
        <v>16</v>
      </c>
      <c r="N2" s="12" t="s">
        <v>17</v>
      </c>
      <c r="O2" s="12" t="s">
        <v>18</v>
      </c>
      <c r="P2" s="12" t="s">
        <v>19</v>
      </c>
      <c r="Q2" s="61" t="s">
        <v>20</v>
      </c>
      <c r="R2" s="30" t="s">
        <v>21</v>
      </c>
    </row>
    <row r="3" spans="1:18" x14ac:dyDescent="0.25">
      <c r="A3" s="125">
        <v>39815</v>
      </c>
      <c r="B3" s="126"/>
      <c r="C3" s="1">
        <v>7615</v>
      </c>
      <c r="D3" s="19">
        <v>10923</v>
      </c>
      <c r="E3" s="2">
        <v>990</v>
      </c>
      <c r="F3" s="3">
        <v>435</v>
      </c>
      <c r="G3" s="14">
        <v>230</v>
      </c>
      <c r="H3" s="68">
        <v>471</v>
      </c>
      <c r="I3" s="22">
        <v>1612</v>
      </c>
      <c r="J3" s="14">
        <v>54</v>
      </c>
      <c r="K3" s="14">
        <v>450</v>
      </c>
      <c r="L3" s="14">
        <v>120</v>
      </c>
      <c r="M3" s="14">
        <v>1393</v>
      </c>
      <c r="N3" s="14">
        <v>1650</v>
      </c>
      <c r="O3" s="14">
        <v>47</v>
      </c>
      <c r="P3" s="14">
        <v>227</v>
      </c>
      <c r="Q3" s="26">
        <f>A3-SUM(C3:P3)</f>
        <v>13598</v>
      </c>
      <c r="R3" s="37">
        <v>39815</v>
      </c>
    </row>
    <row r="4" spans="1:18" x14ac:dyDescent="0.25">
      <c r="A4" s="125" t="s">
        <v>22</v>
      </c>
      <c r="B4" s="126"/>
      <c r="C4" s="87">
        <f>C3/$A$3</f>
        <v>0.19125957553685796</v>
      </c>
      <c r="D4" s="88">
        <f>D3/$A$3</f>
        <v>0.27434384026120806</v>
      </c>
      <c r="E4" s="89">
        <f t="shared" ref="E4:P4" si="0">E3/$A$3</f>
        <v>2.4865000627904057E-2</v>
      </c>
      <c r="F4" s="90">
        <f t="shared" si="0"/>
        <v>1.0925530578927541E-2</v>
      </c>
      <c r="G4" s="91">
        <f t="shared" si="0"/>
        <v>5.776717317593872E-3</v>
      </c>
      <c r="H4" s="92">
        <f t="shared" si="0"/>
        <v>1.1829712419942233E-2</v>
      </c>
      <c r="I4" s="93">
        <f t="shared" si="0"/>
        <v>4.048725354765792E-2</v>
      </c>
      <c r="J4" s="91">
        <f t="shared" si="0"/>
        <v>1.3562727615220394E-3</v>
      </c>
      <c r="K4" s="91">
        <f t="shared" si="0"/>
        <v>1.1302273012683661E-2</v>
      </c>
      <c r="L4" s="91">
        <f t="shared" si="0"/>
        <v>3.0139394700489765E-3</v>
      </c>
      <c r="M4" s="91">
        <f t="shared" si="0"/>
        <v>3.4986814014818533E-2</v>
      </c>
      <c r="N4" s="91">
        <f t="shared" si="0"/>
        <v>4.1441667713173425E-2</v>
      </c>
      <c r="O4" s="91">
        <f t="shared" si="0"/>
        <v>1.1804596257691824E-3</v>
      </c>
      <c r="P4" s="91">
        <f t="shared" si="0"/>
        <v>5.7013688308426473E-3</v>
      </c>
      <c r="Q4" s="94">
        <f>Q3/$A$3</f>
        <v>0.34152957428104985</v>
      </c>
      <c r="R4" s="31">
        <f>SUM(C4:P4,Q4)</f>
        <v>1</v>
      </c>
    </row>
    <row r="5" spans="1:18" x14ac:dyDescent="0.25">
      <c r="A5" s="32"/>
      <c r="B5" s="68"/>
      <c r="C5" s="5"/>
      <c r="D5" s="20"/>
      <c r="E5" s="6"/>
      <c r="F5" s="7"/>
      <c r="G5" s="15"/>
      <c r="H5" s="16"/>
      <c r="I5" s="23"/>
      <c r="J5" s="15"/>
      <c r="K5" s="15"/>
      <c r="L5" s="15"/>
      <c r="M5" s="15"/>
      <c r="N5" s="15"/>
      <c r="O5" s="15"/>
      <c r="P5" s="15"/>
      <c r="Q5" s="27"/>
      <c r="R5" s="31"/>
    </row>
    <row r="6" spans="1:18" x14ac:dyDescent="0.25">
      <c r="A6" s="33" t="s">
        <v>23</v>
      </c>
      <c r="B6" s="69">
        <v>355781</v>
      </c>
      <c r="C6" s="66">
        <f>$B$6*C8</f>
        <v>74654.110247719815</v>
      </c>
      <c r="D6" s="45">
        <f t="shared" ref="D6" si="1">$B$6*D8</f>
        <v>107084.28709597421</v>
      </c>
      <c r="E6" s="62">
        <f t="shared" ref="E6:O6" si="2">$B$6*E8</f>
        <v>0</v>
      </c>
      <c r="F6" s="46">
        <f t="shared" si="2"/>
        <v>4264.5486484252297</v>
      </c>
      <c r="G6" s="52">
        <f t="shared" si="2"/>
        <v>0</v>
      </c>
      <c r="H6" s="53">
        <f t="shared" si="2"/>
        <v>0</v>
      </c>
      <c r="I6" s="54">
        <f t="shared" si="2"/>
        <v>0</v>
      </c>
      <c r="J6" s="52">
        <f t="shared" si="2"/>
        <v>0</v>
      </c>
      <c r="K6" s="52">
        <f t="shared" si="2"/>
        <v>4411.6020500950644</v>
      </c>
      <c r="L6" s="52">
        <f t="shared" si="2"/>
        <v>0</v>
      </c>
      <c r="M6" s="52">
        <f t="shared" si="2"/>
        <v>13656.359235072057</v>
      </c>
      <c r="N6" s="52">
        <f t="shared" si="2"/>
        <v>16175.874183681906</v>
      </c>
      <c r="O6" s="52">
        <f t="shared" si="2"/>
        <v>0</v>
      </c>
      <c r="P6" s="52">
        <f>$B$6*P8</f>
        <v>2225.4081452701771</v>
      </c>
      <c r="Q6" s="47">
        <f>$B$6*Q8</f>
        <v>133308.81039376155</v>
      </c>
      <c r="R6" s="55">
        <f>$B$6*R8</f>
        <v>355781</v>
      </c>
    </row>
    <row r="7" spans="1:18" x14ac:dyDescent="0.25">
      <c r="A7" s="116" t="s">
        <v>24</v>
      </c>
      <c r="B7" s="117"/>
      <c r="C7" s="1">
        <f>C3</f>
        <v>7615</v>
      </c>
      <c r="D7" s="19">
        <f>D3</f>
        <v>10923</v>
      </c>
      <c r="E7" s="2"/>
      <c r="F7" s="3">
        <f>F3</f>
        <v>435</v>
      </c>
      <c r="G7" s="4"/>
      <c r="H7" s="70"/>
      <c r="I7" s="24"/>
      <c r="J7" s="4"/>
      <c r="K7" s="4">
        <f>K3</f>
        <v>450</v>
      </c>
      <c r="L7" s="4"/>
      <c r="M7" s="4">
        <f>M3</f>
        <v>1393</v>
      </c>
      <c r="N7" s="4">
        <f>N3</f>
        <v>1650</v>
      </c>
      <c r="O7" s="4"/>
      <c r="P7" s="4">
        <f>P3</f>
        <v>227</v>
      </c>
      <c r="Q7" s="26">
        <f>Q3</f>
        <v>13598</v>
      </c>
      <c r="R7" s="34">
        <f>SUM(C7:Q7)</f>
        <v>36291</v>
      </c>
    </row>
    <row r="8" spans="1:18" x14ac:dyDescent="0.25">
      <c r="A8" s="116" t="s">
        <v>25</v>
      </c>
      <c r="B8" s="117"/>
      <c r="C8" s="87">
        <f t="shared" ref="C8:Q8" si="3">C7/$R$7</f>
        <v>0.20983163869829985</v>
      </c>
      <c r="D8" s="88">
        <f t="shared" si="3"/>
        <v>0.3009837149706539</v>
      </c>
      <c r="E8" s="89">
        <f t="shared" si="3"/>
        <v>0</v>
      </c>
      <c r="F8" s="90">
        <f t="shared" si="3"/>
        <v>1.1986442919732165E-2</v>
      </c>
      <c r="G8" s="95">
        <f t="shared" si="3"/>
        <v>0</v>
      </c>
      <c r="H8" s="96">
        <f t="shared" si="3"/>
        <v>0</v>
      </c>
      <c r="I8" s="97">
        <f t="shared" si="3"/>
        <v>0</v>
      </c>
      <c r="J8" s="95">
        <f t="shared" si="3"/>
        <v>0</v>
      </c>
      <c r="K8" s="95">
        <f t="shared" si="3"/>
        <v>1.2399768537653963E-2</v>
      </c>
      <c r="L8" s="95">
        <f t="shared" si="3"/>
        <v>0</v>
      </c>
      <c r="M8" s="95">
        <f t="shared" si="3"/>
        <v>3.8384172384337716E-2</v>
      </c>
      <c r="N8" s="95">
        <f t="shared" si="3"/>
        <v>4.5465817971397871E-2</v>
      </c>
      <c r="O8" s="95">
        <f t="shared" si="3"/>
        <v>0</v>
      </c>
      <c r="P8" s="95">
        <f t="shared" si="3"/>
        <v>6.2549943512165548E-3</v>
      </c>
      <c r="Q8" s="94">
        <f t="shared" si="3"/>
        <v>0.37469345016670802</v>
      </c>
      <c r="R8" s="98">
        <f>SUM(C8:Q8)</f>
        <v>1</v>
      </c>
    </row>
    <row r="9" spans="1:18" x14ac:dyDescent="0.25">
      <c r="A9" s="35" t="s">
        <v>26</v>
      </c>
      <c r="B9" s="71">
        <v>444726</v>
      </c>
      <c r="C9" s="66">
        <f>$B$9*C11</f>
        <v>93317.585351740097</v>
      </c>
      <c r="D9" s="45">
        <f>$B$9*D11</f>
        <v>133855.28362403903</v>
      </c>
      <c r="E9" s="62">
        <f t="shared" ref="E9:L9" si="4">$B$6*E11</f>
        <v>0</v>
      </c>
      <c r="F9" s="46">
        <f>$B$9*F11</f>
        <v>5330.6828139208073</v>
      </c>
      <c r="G9" s="48">
        <f t="shared" si="4"/>
        <v>0</v>
      </c>
      <c r="H9" s="49">
        <f t="shared" si="4"/>
        <v>0</v>
      </c>
      <c r="I9" s="50">
        <f t="shared" si="4"/>
        <v>0</v>
      </c>
      <c r="J9" s="48">
        <f t="shared" si="4"/>
        <v>0</v>
      </c>
      <c r="K9" s="48">
        <f>$B$9*K11</f>
        <v>5514.4994626766966</v>
      </c>
      <c r="L9" s="48">
        <f t="shared" si="4"/>
        <v>0</v>
      </c>
      <c r="M9" s="48">
        <f t="shared" ref="M9:Q9" si="5">$B$9*M11</f>
        <v>17070.439447796976</v>
      </c>
      <c r="N9" s="48">
        <f t="shared" si="5"/>
        <v>20219.831363147889</v>
      </c>
      <c r="O9" s="48">
        <f t="shared" si="5"/>
        <v>0</v>
      </c>
      <c r="P9" s="48">
        <f t="shared" si="5"/>
        <v>2781.7586178391334</v>
      </c>
      <c r="Q9" s="47">
        <f t="shared" si="5"/>
        <v>166635.91931883938</v>
      </c>
      <c r="R9" s="51">
        <f>$B$9*R11</f>
        <v>444726</v>
      </c>
    </row>
    <row r="10" spans="1:18" x14ac:dyDescent="0.25">
      <c r="A10" s="114" t="s">
        <v>24</v>
      </c>
      <c r="B10" s="115"/>
      <c r="C10" s="1">
        <f>C3</f>
        <v>7615</v>
      </c>
      <c r="D10" s="19">
        <f>D3</f>
        <v>10923</v>
      </c>
      <c r="E10" s="2"/>
      <c r="F10" s="3">
        <f>F3</f>
        <v>435</v>
      </c>
      <c r="G10" s="8"/>
      <c r="H10" s="72"/>
      <c r="I10" s="25"/>
      <c r="J10" s="8"/>
      <c r="K10" s="8">
        <f>K3</f>
        <v>450</v>
      </c>
      <c r="L10" s="8"/>
      <c r="M10" s="8">
        <f>M3</f>
        <v>1393</v>
      </c>
      <c r="N10" s="8">
        <f>N3</f>
        <v>1650</v>
      </c>
      <c r="O10" s="8"/>
      <c r="P10" s="8">
        <f>P3</f>
        <v>227</v>
      </c>
      <c r="Q10" s="26">
        <f>Q3</f>
        <v>13598</v>
      </c>
      <c r="R10" s="36">
        <f>SUM(C10:Q10)</f>
        <v>36291</v>
      </c>
    </row>
    <row r="11" spans="1:18" x14ac:dyDescent="0.25">
      <c r="A11" s="120" t="s">
        <v>25</v>
      </c>
      <c r="B11" s="121"/>
      <c r="C11" s="99">
        <f>C10/$R$10</f>
        <v>0.20983163869829985</v>
      </c>
      <c r="D11" s="100">
        <f>D10/$R$10</f>
        <v>0.3009837149706539</v>
      </c>
      <c r="E11" s="101">
        <f t="shared" ref="E11" si="6">E10/$R$7</f>
        <v>0</v>
      </c>
      <c r="F11" s="102">
        <f>F10/$R$10</f>
        <v>1.1986442919732165E-2</v>
      </c>
      <c r="G11" s="103">
        <f t="shared" ref="G11" si="7">G10/$R$7</f>
        <v>0</v>
      </c>
      <c r="H11" s="104">
        <f t="shared" ref="H11" si="8">H10/$R$7</f>
        <v>0</v>
      </c>
      <c r="I11" s="105">
        <f t="shared" ref="I11" si="9">I10/$R$7</f>
        <v>0</v>
      </c>
      <c r="J11" s="103">
        <f t="shared" ref="J11" si="10">J10/$R$7</f>
        <v>0</v>
      </c>
      <c r="K11" s="103">
        <f t="shared" ref="K11" si="11">K10/$R$7</f>
        <v>1.2399768537653963E-2</v>
      </c>
      <c r="L11" s="103">
        <f t="shared" ref="L11" si="12">L10/$R$7</f>
        <v>0</v>
      </c>
      <c r="M11" s="103">
        <f t="shared" ref="M11" si="13">M10/$R$7</f>
        <v>3.8384172384337716E-2</v>
      </c>
      <c r="N11" s="103">
        <f t="shared" ref="N11" si="14">N10/$R$7</f>
        <v>4.5465817971397871E-2</v>
      </c>
      <c r="O11" s="103">
        <f t="shared" ref="O11" si="15">O10/$R$7</f>
        <v>0</v>
      </c>
      <c r="P11" s="103">
        <f t="shared" ref="P11" si="16">P10/$R$7</f>
        <v>6.2549943512165548E-3</v>
      </c>
      <c r="Q11" s="106">
        <f>Q10/$R$10</f>
        <v>0.37469345016670802</v>
      </c>
      <c r="R11" s="107">
        <f>SUM(C11:Q11)</f>
        <v>1</v>
      </c>
    </row>
    <row r="12" spans="1:18" x14ac:dyDescent="0.25">
      <c r="A12" s="33" t="s">
        <v>27</v>
      </c>
      <c r="B12" s="69">
        <v>0</v>
      </c>
      <c r="C12" s="66">
        <f>$B$12*C14</f>
        <v>0</v>
      </c>
      <c r="D12" s="45">
        <f>$B$12*D14</f>
        <v>0</v>
      </c>
      <c r="E12" s="62">
        <f t="shared" ref="E12:P12" si="17">$B$12*E14</f>
        <v>0</v>
      </c>
      <c r="F12" s="46">
        <f>$B$12*F14</f>
        <v>0</v>
      </c>
      <c r="G12" s="52">
        <f t="shared" si="17"/>
        <v>0</v>
      </c>
      <c r="H12" s="53">
        <f t="shared" si="17"/>
        <v>0</v>
      </c>
      <c r="I12" s="54">
        <f t="shared" si="17"/>
        <v>0</v>
      </c>
      <c r="J12" s="52">
        <f t="shared" si="17"/>
        <v>0</v>
      </c>
      <c r="K12" s="52">
        <f t="shared" si="17"/>
        <v>0</v>
      </c>
      <c r="L12" s="52">
        <f t="shared" si="17"/>
        <v>0</v>
      </c>
      <c r="M12" s="52">
        <f t="shared" si="17"/>
        <v>0</v>
      </c>
      <c r="N12" s="52">
        <f t="shared" si="17"/>
        <v>0</v>
      </c>
      <c r="O12" s="52">
        <f t="shared" si="17"/>
        <v>0</v>
      </c>
      <c r="P12" s="52">
        <f t="shared" si="17"/>
        <v>0</v>
      </c>
      <c r="Q12" s="47">
        <f>$B$12*Q14</f>
        <v>0</v>
      </c>
      <c r="R12" s="55">
        <f>$B$12*R14</f>
        <v>0</v>
      </c>
    </row>
    <row r="13" spans="1:18" x14ac:dyDescent="0.25">
      <c r="A13" s="116" t="s">
        <v>24</v>
      </c>
      <c r="B13" s="117"/>
      <c r="C13" s="1">
        <f>C3</f>
        <v>7615</v>
      </c>
      <c r="D13" s="19">
        <f>D3</f>
        <v>10923</v>
      </c>
      <c r="E13" s="2"/>
      <c r="F13" s="3">
        <f>F3</f>
        <v>435</v>
      </c>
      <c r="G13" s="4"/>
      <c r="H13" s="70"/>
      <c r="I13" s="24"/>
      <c r="J13" s="4"/>
      <c r="K13" s="4"/>
      <c r="L13" s="4"/>
      <c r="M13" s="4"/>
      <c r="N13" s="4"/>
      <c r="O13" s="4"/>
      <c r="P13" s="4"/>
      <c r="Q13" s="26">
        <f>Q3-SUM(K13:P13)</f>
        <v>13598</v>
      </c>
      <c r="R13" s="36">
        <f>SUM(C13:Q13)</f>
        <v>32571</v>
      </c>
    </row>
    <row r="14" spans="1:18" x14ac:dyDescent="0.25">
      <c r="A14" s="118" t="s">
        <v>25</v>
      </c>
      <c r="B14" s="119"/>
      <c r="C14" s="99">
        <f>C13/$R$13</f>
        <v>0.23379693592459549</v>
      </c>
      <c r="D14" s="100">
        <f>D13/$R$13</f>
        <v>0.3353596757852077</v>
      </c>
      <c r="E14" s="101">
        <f t="shared" ref="E14:P14" si="18">E13/$R$13</f>
        <v>0</v>
      </c>
      <c r="F14" s="102">
        <f>F13/$R$13</f>
        <v>1.3355438887353781E-2</v>
      </c>
      <c r="G14" s="108">
        <f t="shared" si="18"/>
        <v>0</v>
      </c>
      <c r="H14" s="109">
        <f t="shared" si="18"/>
        <v>0</v>
      </c>
      <c r="I14" s="110">
        <f t="shared" si="18"/>
        <v>0</v>
      </c>
      <c r="J14" s="108">
        <f t="shared" si="18"/>
        <v>0</v>
      </c>
      <c r="K14" s="108">
        <f t="shared" si="18"/>
        <v>0</v>
      </c>
      <c r="L14" s="108">
        <f t="shared" si="18"/>
        <v>0</v>
      </c>
      <c r="M14" s="108">
        <f t="shared" si="18"/>
        <v>0</v>
      </c>
      <c r="N14" s="108">
        <f t="shared" si="18"/>
        <v>0</v>
      </c>
      <c r="O14" s="108">
        <f t="shared" si="18"/>
        <v>0</v>
      </c>
      <c r="P14" s="108">
        <f t="shared" si="18"/>
        <v>0</v>
      </c>
      <c r="Q14" s="106">
        <f>Q13/$R$13</f>
        <v>0.41748794940284301</v>
      </c>
      <c r="R14" s="111">
        <f>SUM(C14:Q14)</f>
        <v>1</v>
      </c>
    </row>
    <row r="15" spans="1:18" x14ac:dyDescent="0.25">
      <c r="A15" s="35" t="s">
        <v>28</v>
      </c>
      <c r="B15" s="71">
        <v>15722</v>
      </c>
      <c r="C15" s="66">
        <f>$B$15*C17</f>
        <v>3554.6162524865654</v>
      </c>
      <c r="D15" s="45">
        <f>$B$15*D17</f>
        <v>5098.762091386835</v>
      </c>
      <c r="E15" s="62">
        <f>$B$15*E17</f>
        <v>462.12345239155604</v>
      </c>
      <c r="F15" s="46">
        <f>$B$15*F17</f>
        <v>203.05424423265342</v>
      </c>
      <c r="G15" s="48">
        <f t="shared" ref="G15:P15" si="19">$B$15*G17</f>
        <v>0</v>
      </c>
      <c r="H15" s="49">
        <f t="shared" si="19"/>
        <v>0</v>
      </c>
      <c r="I15" s="50">
        <f t="shared" si="19"/>
        <v>0</v>
      </c>
      <c r="J15" s="48">
        <f t="shared" si="19"/>
        <v>0</v>
      </c>
      <c r="K15" s="48">
        <f t="shared" si="19"/>
        <v>0</v>
      </c>
      <c r="L15" s="48">
        <f>$B$15*L17</f>
        <v>56.014963926249223</v>
      </c>
      <c r="M15" s="48">
        <f t="shared" si="19"/>
        <v>0</v>
      </c>
      <c r="N15" s="48">
        <f t="shared" si="19"/>
        <v>0</v>
      </c>
      <c r="O15" s="48">
        <f t="shared" si="19"/>
        <v>0</v>
      </c>
      <c r="P15" s="48">
        <f t="shared" si="19"/>
        <v>0</v>
      </c>
      <c r="Q15" s="47">
        <f>$B$15*Q17</f>
        <v>6347.4289955761406</v>
      </c>
      <c r="R15" s="51">
        <f>$B$15*R17</f>
        <v>15722</v>
      </c>
    </row>
    <row r="16" spans="1:18" x14ac:dyDescent="0.25">
      <c r="A16" s="114" t="s">
        <v>24</v>
      </c>
      <c r="B16" s="115"/>
      <c r="C16" s="1">
        <f>C3</f>
        <v>7615</v>
      </c>
      <c r="D16" s="19">
        <f>D3</f>
        <v>10923</v>
      </c>
      <c r="E16" s="2">
        <v>990</v>
      </c>
      <c r="F16" s="3">
        <f>F3</f>
        <v>435</v>
      </c>
      <c r="G16" s="8"/>
      <c r="H16" s="72"/>
      <c r="I16" s="25"/>
      <c r="J16" s="8"/>
      <c r="K16" s="8"/>
      <c r="L16" s="8">
        <f>L3</f>
        <v>120</v>
      </c>
      <c r="M16" s="8"/>
      <c r="N16" s="8"/>
      <c r="O16" s="8"/>
      <c r="P16" s="8"/>
      <c r="Q16" s="26">
        <f>Q3</f>
        <v>13598</v>
      </c>
      <c r="R16" s="36">
        <f>SUM(C16:Q16)</f>
        <v>33681</v>
      </c>
    </row>
    <row r="17" spans="1:18" x14ac:dyDescent="0.25">
      <c r="A17" s="120" t="s">
        <v>25</v>
      </c>
      <c r="B17" s="121"/>
      <c r="C17" s="99">
        <f>C16/$R$16</f>
        <v>0.2260918618805855</v>
      </c>
      <c r="D17" s="100">
        <f>D16/$R$16</f>
        <v>0.32430747305602564</v>
      </c>
      <c r="E17" s="101">
        <f>E16/$R$16</f>
        <v>2.9393426560969091E-2</v>
      </c>
      <c r="F17" s="102">
        <f>F16/$R$16</f>
        <v>1.2915293488910662E-2</v>
      </c>
      <c r="G17" s="103">
        <f t="shared" ref="G17:P17" si="20">G16/$R$13</f>
        <v>0</v>
      </c>
      <c r="H17" s="104">
        <f t="shared" si="20"/>
        <v>0</v>
      </c>
      <c r="I17" s="105">
        <f t="shared" si="20"/>
        <v>0</v>
      </c>
      <c r="J17" s="103">
        <f t="shared" si="20"/>
        <v>0</v>
      </c>
      <c r="K17" s="103">
        <f t="shared" si="20"/>
        <v>0</v>
      </c>
      <c r="L17" s="103">
        <f>L16/$R$16</f>
        <v>3.5628395831477687E-3</v>
      </c>
      <c r="M17" s="103">
        <f t="shared" si="20"/>
        <v>0</v>
      </c>
      <c r="N17" s="103">
        <f t="shared" si="20"/>
        <v>0</v>
      </c>
      <c r="O17" s="103">
        <f t="shared" si="20"/>
        <v>0</v>
      </c>
      <c r="P17" s="103">
        <f t="shared" si="20"/>
        <v>0</v>
      </c>
      <c r="Q17" s="106">
        <f>Q16/$R$16</f>
        <v>0.40372910543036133</v>
      </c>
      <c r="R17" s="107">
        <f>SUM(C17:Q17)</f>
        <v>1</v>
      </c>
    </row>
    <row r="18" spans="1:18" x14ac:dyDescent="0.25">
      <c r="A18" s="33" t="s">
        <v>29</v>
      </c>
      <c r="B18" s="69">
        <v>214706</v>
      </c>
      <c r="C18" s="66">
        <f>$B$18*C20</f>
        <v>88196.471571906353</v>
      </c>
      <c r="D18" s="45">
        <f>$B$18*D20</f>
        <v>126509.52842809366</v>
      </c>
      <c r="E18" s="62">
        <f t="shared" ref="E18:Q18" si="21">$B$15*E20</f>
        <v>0</v>
      </c>
      <c r="F18" s="46">
        <f t="shared" si="21"/>
        <v>0</v>
      </c>
      <c r="G18" s="52">
        <f t="shared" si="21"/>
        <v>0</v>
      </c>
      <c r="H18" s="53">
        <f t="shared" si="21"/>
        <v>0</v>
      </c>
      <c r="I18" s="54">
        <f t="shared" si="21"/>
        <v>0</v>
      </c>
      <c r="J18" s="52">
        <f t="shared" si="21"/>
        <v>0</v>
      </c>
      <c r="K18" s="52">
        <f t="shared" si="21"/>
        <v>0</v>
      </c>
      <c r="L18" s="52">
        <f t="shared" si="21"/>
        <v>0</v>
      </c>
      <c r="M18" s="52">
        <f t="shared" si="21"/>
        <v>0</v>
      </c>
      <c r="N18" s="52">
        <f t="shared" si="21"/>
        <v>0</v>
      </c>
      <c r="O18" s="52">
        <f t="shared" si="21"/>
        <v>0</v>
      </c>
      <c r="P18" s="52">
        <f t="shared" si="21"/>
        <v>0</v>
      </c>
      <c r="Q18" s="47">
        <f t="shared" si="21"/>
        <v>0</v>
      </c>
      <c r="R18" s="55">
        <f>$B$18*R20</f>
        <v>214706</v>
      </c>
    </row>
    <row r="19" spans="1:18" x14ac:dyDescent="0.25">
      <c r="A19" s="116" t="s">
        <v>24</v>
      </c>
      <c r="B19" s="117"/>
      <c r="C19" s="1">
        <f>C3</f>
        <v>7615</v>
      </c>
      <c r="D19" s="19">
        <f>D3</f>
        <v>10923</v>
      </c>
      <c r="E19" s="2"/>
      <c r="F19" s="3"/>
      <c r="G19" s="4"/>
      <c r="H19" s="70"/>
      <c r="I19" s="24"/>
      <c r="J19" s="4"/>
      <c r="K19" s="4"/>
      <c r="L19" s="4"/>
      <c r="M19" s="4"/>
      <c r="N19" s="4"/>
      <c r="O19" s="4"/>
      <c r="P19" s="4"/>
      <c r="Q19" s="26"/>
      <c r="R19" s="34">
        <f>SUM(C19:Q19)</f>
        <v>18538</v>
      </c>
    </row>
    <row r="20" spans="1:18" x14ac:dyDescent="0.25">
      <c r="A20" s="118" t="s">
        <v>25</v>
      </c>
      <c r="B20" s="119"/>
      <c r="C20" s="99">
        <f>C19/$R$19</f>
        <v>0.41077786168950264</v>
      </c>
      <c r="D20" s="100">
        <f>D19/$R$19</f>
        <v>0.58922213831049741</v>
      </c>
      <c r="E20" s="101">
        <f t="shared" ref="E20" si="22">E19/$R$13</f>
        <v>0</v>
      </c>
      <c r="F20" s="102">
        <f t="shared" ref="F20" si="23">F19/$R$13</f>
        <v>0</v>
      </c>
      <c r="G20" s="108">
        <f t="shared" ref="G20" si="24">G19/$R$13</f>
        <v>0</v>
      </c>
      <c r="H20" s="109">
        <f t="shared" ref="H20" si="25">H19/$R$13</f>
        <v>0</v>
      </c>
      <c r="I20" s="110">
        <f t="shared" ref="I20" si="26">I19/$R$13</f>
        <v>0</v>
      </c>
      <c r="J20" s="108">
        <f t="shared" ref="J20" si="27">J19/$R$13</f>
        <v>0</v>
      </c>
      <c r="K20" s="108">
        <f t="shared" ref="K20" si="28">K19/$R$13</f>
        <v>0</v>
      </c>
      <c r="L20" s="108">
        <f t="shared" ref="L20" si="29">L19/$R$13</f>
        <v>0</v>
      </c>
      <c r="M20" s="108">
        <f t="shared" ref="M20" si="30">M19/$R$13</f>
        <v>0</v>
      </c>
      <c r="N20" s="108">
        <f t="shared" ref="N20" si="31">N19/$R$13</f>
        <v>0</v>
      </c>
      <c r="O20" s="108">
        <f t="shared" ref="O20" si="32">O19/$R$13</f>
        <v>0</v>
      </c>
      <c r="P20" s="108">
        <f t="shared" ref="P20" si="33">P19/$R$13</f>
        <v>0</v>
      </c>
      <c r="Q20" s="106">
        <f t="shared" ref="Q20" si="34">Q19/$R$13</f>
        <v>0</v>
      </c>
      <c r="R20" s="111">
        <f>SUM(C20:Q20)</f>
        <v>1</v>
      </c>
    </row>
    <row r="21" spans="1:18" x14ac:dyDescent="0.25">
      <c r="A21" s="35" t="s">
        <v>33</v>
      </c>
      <c r="B21" s="71">
        <v>516526</v>
      </c>
      <c r="C21" s="66">
        <f>$B$21*C23</f>
        <v>117199.88945502219</v>
      </c>
      <c r="D21" s="45">
        <f>$B$21*D23</f>
        <v>168112.19862340216</v>
      </c>
      <c r="E21" s="62">
        <f>$B$21*E23</f>
        <v>15236.755162241887</v>
      </c>
      <c r="F21" s="46">
        <f>$B$21*F23</f>
        <v>6694.9378743184052</v>
      </c>
      <c r="G21" s="48">
        <f t="shared" ref="G21:P21" si="35">$B$15*G23</f>
        <v>0</v>
      </c>
      <c r="H21" s="49">
        <f t="shared" si="35"/>
        <v>0</v>
      </c>
      <c r="I21" s="50">
        <f t="shared" si="35"/>
        <v>0</v>
      </c>
      <c r="J21" s="48">
        <f t="shared" si="35"/>
        <v>0</v>
      </c>
      <c r="K21" s="48">
        <f t="shared" si="35"/>
        <v>0</v>
      </c>
      <c r="L21" s="48">
        <f t="shared" si="35"/>
        <v>0</v>
      </c>
      <c r="M21" s="48">
        <f t="shared" si="35"/>
        <v>0</v>
      </c>
      <c r="N21" s="48">
        <f t="shared" si="35"/>
        <v>0</v>
      </c>
      <c r="O21" s="48">
        <f t="shared" si="35"/>
        <v>0</v>
      </c>
      <c r="P21" s="48">
        <f t="shared" si="35"/>
        <v>0</v>
      </c>
      <c r="Q21" s="47">
        <f>$B$21*Q23</f>
        <v>209282.21888501535</v>
      </c>
      <c r="R21" s="51">
        <f>$B$21*R23</f>
        <v>516526</v>
      </c>
    </row>
    <row r="22" spans="1:18" x14ac:dyDescent="0.25">
      <c r="A22" s="114" t="s">
        <v>24</v>
      </c>
      <c r="B22" s="115"/>
      <c r="C22" s="1">
        <f>C3</f>
        <v>7615</v>
      </c>
      <c r="D22" s="19">
        <f>D3</f>
        <v>10923</v>
      </c>
      <c r="E22" s="2">
        <f>E3</f>
        <v>990</v>
      </c>
      <c r="F22" s="3">
        <f>F3</f>
        <v>435</v>
      </c>
      <c r="G22" s="8"/>
      <c r="H22" s="72"/>
      <c r="I22" s="25"/>
      <c r="J22" s="8"/>
      <c r="K22" s="8"/>
      <c r="L22" s="8">
        <f>L9</f>
        <v>0</v>
      </c>
      <c r="M22" s="8"/>
      <c r="N22" s="8"/>
      <c r="O22" s="8"/>
      <c r="P22" s="8"/>
      <c r="Q22" s="26">
        <f>Q3</f>
        <v>13598</v>
      </c>
      <c r="R22" s="36">
        <f>SUM(C22:Q22)</f>
        <v>33561</v>
      </c>
    </row>
    <row r="23" spans="1:18" x14ac:dyDescent="0.25">
      <c r="A23" s="120" t="s">
        <v>25</v>
      </c>
      <c r="B23" s="121"/>
      <c r="C23" s="99">
        <f>C22/$R$22</f>
        <v>0.22690027114805875</v>
      </c>
      <c r="D23" s="100">
        <f>D22/$R$22</f>
        <v>0.32546705998033432</v>
      </c>
      <c r="E23" s="101">
        <f>E22/$R$22</f>
        <v>2.9498525073746312E-2</v>
      </c>
      <c r="F23" s="102">
        <f>F22/$R$22</f>
        <v>1.2961473138464288E-2</v>
      </c>
      <c r="G23" s="103">
        <f t="shared" ref="G23" si="36">G22/$R$13</f>
        <v>0</v>
      </c>
      <c r="H23" s="104">
        <f t="shared" ref="H23" si="37">H22/$R$13</f>
        <v>0</v>
      </c>
      <c r="I23" s="105">
        <f t="shared" ref="I23" si="38">I22/$R$13</f>
        <v>0</v>
      </c>
      <c r="J23" s="103">
        <f t="shared" ref="J23" si="39">J22/$R$13</f>
        <v>0</v>
      </c>
      <c r="K23" s="103">
        <f t="shared" ref="K23" si="40">K22/$R$13</f>
        <v>0</v>
      </c>
      <c r="L23" s="103">
        <f t="shared" ref="L23" si="41">L22/$R$13</f>
        <v>0</v>
      </c>
      <c r="M23" s="103">
        <f t="shared" ref="M23" si="42">M22/$R$13</f>
        <v>0</v>
      </c>
      <c r="N23" s="103">
        <f t="shared" ref="N23" si="43">N22/$R$13</f>
        <v>0</v>
      </c>
      <c r="O23" s="103">
        <f t="shared" ref="O23" si="44">O22/$R$13</f>
        <v>0</v>
      </c>
      <c r="P23" s="103">
        <f t="shared" ref="P23" si="45">P22/$R$13</f>
        <v>0</v>
      </c>
      <c r="Q23" s="106">
        <f>Q22/$R$22</f>
        <v>0.40517267065939633</v>
      </c>
      <c r="R23" s="107">
        <f>SUM(C23:Q23)</f>
        <v>1</v>
      </c>
    </row>
    <row r="24" spans="1:18" x14ac:dyDescent="0.25">
      <c r="A24" s="33" t="s">
        <v>21</v>
      </c>
      <c r="B24" s="69">
        <f>SUM(B6:B23)</f>
        <v>1547461</v>
      </c>
      <c r="C24" s="66">
        <f>SUM(C15+C12+C9+C6+C18+C21)</f>
        <v>376922.67287887499</v>
      </c>
      <c r="D24" s="45">
        <f>SUM(D15+D12+D9+D6+D18+D21)</f>
        <v>540660.05986289587</v>
      </c>
      <c r="E24" s="62">
        <f>SUM(E15+E12+E9+E6)+E18+E21</f>
        <v>15698.878614633442</v>
      </c>
      <c r="F24" s="46">
        <f>SUM(F15+F12+F9+F6+F18+F21)</f>
        <v>16493.223580897095</v>
      </c>
      <c r="G24" s="52">
        <f t="shared" ref="G24:J24" si="46">SUM(G15+G12+G9+G6)</f>
        <v>0</v>
      </c>
      <c r="H24" s="53">
        <f t="shared" si="46"/>
        <v>0</v>
      </c>
      <c r="I24" s="54">
        <f t="shared" si="46"/>
        <v>0</v>
      </c>
      <c r="J24" s="52">
        <f t="shared" si="46"/>
        <v>0</v>
      </c>
      <c r="K24" s="52">
        <f t="shared" ref="K24:P24" si="47">SUM(K15+K12+K9+K6)</f>
        <v>9926.1015127717619</v>
      </c>
      <c r="L24" s="52">
        <f t="shared" si="47"/>
        <v>56.014963926249223</v>
      </c>
      <c r="M24" s="52">
        <f t="shared" si="47"/>
        <v>30726.798682869034</v>
      </c>
      <c r="N24" s="52">
        <f t="shared" si="47"/>
        <v>36395.705546829791</v>
      </c>
      <c r="O24" s="52">
        <f t="shared" si="47"/>
        <v>0</v>
      </c>
      <c r="P24" s="52">
        <f t="shared" si="47"/>
        <v>5007.1667631093105</v>
      </c>
      <c r="Q24" s="47">
        <f>SUM(Q15+Q12+Q9+Q6+Q18+Q21)</f>
        <v>515574.37759319239</v>
      </c>
      <c r="R24" s="80">
        <f>SUM(C24:Q24)</f>
        <v>1547461</v>
      </c>
    </row>
    <row r="25" spans="1:18" x14ac:dyDescent="0.25">
      <c r="A25" s="73" t="s">
        <v>30</v>
      </c>
      <c r="B25" s="74">
        <f>B24*0.67</f>
        <v>1036798.8700000001</v>
      </c>
      <c r="C25" s="59">
        <f>C24*0.67</f>
        <v>252538.19082884624</v>
      </c>
      <c r="D25" s="39">
        <f>D24*0.67</f>
        <v>362242.24010814028</v>
      </c>
      <c r="E25" s="60">
        <f>E24*0.67</f>
        <v>10518.248671804407</v>
      </c>
      <c r="F25" s="40">
        <f>F24*0.67</f>
        <v>11050.459799201053</v>
      </c>
      <c r="G25" s="77">
        <f t="shared" ref="G25:O25" si="48">G24*0.6848615</f>
        <v>0</v>
      </c>
      <c r="H25" s="77">
        <f t="shared" si="48"/>
        <v>0</v>
      </c>
      <c r="I25" s="77">
        <f t="shared" si="48"/>
        <v>0</v>
      </c>
      <c r="J25" s="77">
        <f t="shared" si="48"/>
        <v>0</v>
      </c>
      <c r="K25" s="77">
        <f>K24*0.67</f>
        <v>6650.4880135570811</v>
      </c>
      <c r="L25" s="77">
        <f>L24*0.67</f>
        <v>37.530025830586979</v>
      </c>
      <c r="M25" s="77">
        <f>M24*0.625</f>
        <v>19204.249176793146</v>
      </c>
      <c r="N25" s="77">
        <f>N24*0.625</f>
        <v>22747.31596676862</v>
      </c>
      <c r="O25" s="77">
        <f t="shared" si="48"/>
        <v>0</v>
      </c>
      <c r="P25" s="77">
        <f>P24*0.625</f>
        <v>3129.4792269433192</v>
      </c>
      <c r="Q25" s="41">
        <f>Q24*0.67</f>
        <v>345434.83298743895</v>
      </c>
      <c r="R25" s="74">
        <f>R24*0.67</f>
        <v>1036798.8700000001</v>
      </c>
    </row>
    <row r="26" spans="1:18" x14ac:dyDescent="0.25">
      <c r="A26" s="73" t="s">
        <v>31</v>
      </c>
      <c r="B26" s="74">
        <f>B24*0.33</f>
        <v>510662.13</v>
      </c>
      <c r="C26" s="59">
        <f>C24*0.33</f>
        <v>124384.48205002875</v>
      </c>
      <c r="D26" s="39">
        <f>D24*0.33</f>
        <v>178417.81975475565</v>
      </c>
      <c r="E26" s="60">
        <f>E24*0.33</f>
        <v>5180.6299428290358</v>
      </c>
      <c r="F26" s="40">
        <f>F24*0.33</f>
        <v>5442.7637816960414</v>
      </c>
      <c r="G26" s="77">
        <f t="shared" ref="G26:J26" si="49">G24*0.4646</f>
        <v>0</v>
      </c>
      <c r="H26" s="74">
        <f t="shared" si="49"/>
        <v>0</v>
      </c>
      <c r="I26" s="78">
        <f t="shared" si="49"/>
        <v>0</v>
      </c>
      <c r="J26" s="77">
        <f t="shared" si="49"/>
        <v>0</v>
      </c>
      <c r="K26" s="77">
        <f>K24*0.33</f>
        <v>3275.6134992146817</v>
      </c>
      <c r="L26" s="77">
        <f>L24*0.33</f>
        <v>18.484938095662244</v>
      </c>
      <c r="M26" s="77">
        <f t="shared" ref="M26:P26" si="50">M24*0.33</f>
        <v>10139.843565346782</v>
      </c>
      <c r="N26" s="77">
        <f t="shared" si="50"/>
        <v>12010.582830453832</v>
      </c>
      <c r="O26" s="77">
        <f t="shared" si="50"/>
        <v>0</v>
      </c>
      <c r="P26" s="77">
        <f t="shared" si="50"/>
        <v>1652.3650318260725</v>
      </c>
      <c r="Q26" s="41">
        <f>Q24*0.33</f>
        <v>170139.5446057535</v>
      </c>
      <c r="R26" s="74">
        <f>R24*0.33</f>
        <v>510662.13</v>
      </c>
    </row>
    <row r="27" spans="1:18" ht="15.75" thickBot="1" x14ac:dyDescent="0.3">
      <c r="A27" s="75" t="s">
        <v>34</v>
      </c>
      <c r="B27" s="76">
        <f>B26*0.37</f>
        <v>188944.98809999999</v>
      </c>
      <c r="C27" s="67">
        <f>C26*0.37</f>
        <v>46022.258358510633</v>
      </c>
      <c r="D27" s="42">
        <f>D26*0.37</f>
        <v>66014.593309259595</v>
      </c>
      <c r="E27" s="63">
        <f>E26*0.37</f>
        <v>1916.8330788467433</v>
      </c>
      <c r="F27" s="43">
        <f>F26*0.37</f>
        <v>2013.8225992275352</v>
      </c>
      <c r="G27" s="79">
        <f t="shared" ref="G27:J27" si="51">G26*0.5</f>
        <v>0</v>
      </c>
      <c r="H27" s="79">
        <f t="shared" si="51"/>
        <v>0</v>
      </c>
      <c r="I27" s="79">
        <f t="shared" si="51"/>
        <v>0</v>
      </c>
      <c r="J27" s="79">
        <f t="shared" si="51"/>
        <v>0</v>
      </c>
      <c r="K27" s="79">
        <f>K26*0.37</f>
        <v>1211.9769947094321</v>
      </c>
      <c r="L27" s="79">
        <f t="shared" ref="L27:O27" si="52">L26*0.37</f>
        <v>6.8394270953950302</v>
      </c>
      <c r="M27" s="79">
        <f t="shared" si="52"/>
        <v>3751.7421191783096</v>
      </c>
      <c r="N27" s="79">
        <f t="shared" si="52"/>
        <v>4443.9156472679178</v>
      </c>
      <c r="O27" s="79">
        <f t="shared" si="52"/>
        <v>0</v>
      </c>
      <c r="P27" s="79">
        <f>P26*0.37</f>
        <v>611.37506177564683</v>
      </c>
      <c r="Q27" s="44">
        <f>Q26*0.37</f>
        <v>62951.631504128796</v>
      </c>
      <c r="R27" s="81">
        <f>R26*0.37</f>
        <v>188944.98809999999</v>
      </c>
    </row>
    <row r="28" spans="1:18" ht="15.75" thickBot="1" x14ac:dyDescent="0.3">
      <c r="C28" s="18"/>
      <c r="D28" s="17"/>
      <c r="E28" s="18"/>
      <c r="H28" s="17"/>
      <c r="I28" s="18"/>
      <c r="P28" s="17"/>
      <c r="Q28" s="28"/>
    </row>
    <row r="29" spans="1:18" ht="15.75" thickBot="1" x14ac:dyDescent="0.3">
      <c r="A29" s="9" t="s">
        <v>32</v>
      </c>
      <c r="B29" s="56">
        <f>B26-B27</f>
        <v>321717.14190000005</v>
      </c>
      <c r="C29" s="82">
        <f>C26-C27</f>
        <v>78362.223691518113</v>
      </c>
      <c r="D29" s="83">
        <f>D26-D27</f>
        <v>112403.22644549605</v>
      </c>
      <c r="E29" s="84">
        <f>E26-E27</f>
        <v>3263.7968639822925</v>
      </c>
      <c r="F29" s="85">
        <f>F26-F27</f>
        <v>3428.9411824685062</v>
      </c>
      <c r="G29" s="56">
        <f t="shared" ref="G29:P29" si="53">G26-G27</f>
        <v>0</v>
      </c>
      <c r="H29" s="57">
        <f t="shared" si="53"/>
        <v>0</v>
      </c>
      <c r="I29" s="112">
        <f t="shared" si="53"/>
        <v>0</v>
      </c>
      <c r="J29" s="86">
        <f t="shared" si="53"/>
        <v>0</v>
      </c>
      <c r="K29" s="86">
        <f>K26-K27</f>
        <v>2063.6365045052498</v>
      </c>
      <c r="L29" s="86">
        <f>L26-L27</f>
        <v>11.645511000267213</v>
      </c>
      <c r="M29" s="86">
        <f t="shared" si="53"/>
        <v>6388.1014461684726</v>
      </c>
      <c r="N29" s="86">
        <f t="shared" si="53"/>
        <v>7566.6671831859139</v>
      </c>
      <c r="O29" s="86">
        <f t="shared" si="53"/>
        <v>0</v>
      </c>
      <c r="P29" s="113">
        <f t="shared" si="53"/>
        <v>1040.9899700504257</v>
      </c>
      <c r="Q29" s="86">
        <f>(Q26-Q27)</f>
        <v>107187.9131016247</v>
      </c>
      <c r="R29" s="58">
        <f>R26-R27</f>
        <v>321717.14190000005</v>
      </c>
    </row>
  </sheetData>
  <sheetProtection algorithmName="SHA-512" hashValue="1R+RxAbKv7g3lH+N7YQe/jMDjyhk+d9NRqk6GJcYWIT7lAUwd6Sl1kIy96xKA7oHHxAWrnC+zROH/jQqd2CTdA==" saltValue="x+NhdklLrfE6mEYa2Bg/GQ==" spinCount="100000" sheet="1" objects="1" scenarios="1"/>
  <mergeCells count="19">
    <mergeCell ref="A8:B8"/>
    <mergeCell ref="A10:B10"/>
    <mergeCell ref="A11:B11"/>
    <mergeCell ref="A13:B13"/>
    <mergeCell ref="A14:B14"/>
    <mergeCell ref="I1:P1"/>
    <mergeCell ref="A7:B7"/>
    <mergeCell ref="A3:B3"/>
    <mergeCell ref="A4:B4"/>
    <mergeCell ref="C1:D1"/>
    <mergeCell ref="E1:H1"/>
    <mergeCell ref="A1:B1"/>
    <mergeCell ref="A2:B2"/>
    <mergeCell ref="A16:B16"/>
    <mergeCell ref="A19:B19"/>
    <mergeCell ref="A20:B20"/>
    <mergeCell ref="A22:B22"/>
    <mergeCell ref="A23:B23"/>
    <mergeCell ref="A17:B17"/>
  </mergeCells>
  <pageMargins left="0.7" right="0.7" top="0.75" bottom="0.75" header="0.3" footer="0.3"/>
  <pageSetup paperSize="5" scale="7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02325EA30D9AA46B6FDAC4DB249F449" ma:contentTypeVersion="9" ma:contentTypeDescription="Create a new document." ma:contentTypeScope="" ma:versionID="b9347455e7a716f9f897cb270d70604e">
  <xsd:schema xmlns:xsd="http://www.w3.org/2001/XMLSchema" xmlns:xs="http://www.w3.org/2001/XMLSchema" xmlns:p="http://schemas.microsoft.com/office/2006/metadata/properties" xmlns:ns2="510cf187-1ea6-43a0-adcf-3689c31972ef" targetNamespace="http://schemas.microsoft.com/office/2006/metadata/properties" ma:root="true" ma:fieldsID="47a705c873c5eacf3d47529cacf06c8e" ns2:_="">
    <xsd:import namespace="510cf187-1ea6-43a0-adcf-3689c31972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0cf187-1ea6-43a0-adcf-3689c31972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37c6935-b4b1-40d1-bb60-722cbc36a19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10cf187-1ea6-43a0-adcf-3689c31972e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DD85064-A38D-45E8-B714-D5D6D1A2F2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9FEAA5-6B01-43C4-8048-4F136D8AE1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0cf187-1ea6-43a0-adcf-3689c31972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487389A-201E-42CD-A17A-2384C4A7F212}">
  <ds:schemaRefs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2006/metadata/properties"/>
    <ds:schemaRef ds:uri="510cf187-1ea6-43a0-adcf-3689c31972ef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Tim Nichols</dc:creator>
  <cp:keywords/>
  <dc:description/>
  <cp:lastModifiedBy>Tim Nichols</cp:lastModifiedBy>
  <cp:revision/>
  <cp:lastPrinted>2026-04-20T20:34:46Z</cp:lastPrinted>
  <dcterms:created xsi:type="dcterms:W3CDTF">2024-04-17T16:22:36Z</dcterms:created>
  <dcterms:modified xsi:type="dcterms:W3CDTF">2026-06-09T15:35:17Z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xd_ProgID">
    <vt:lpwstr/>
  </property>
  <property fmtid="{D5CDD505-2E9C-101B-9397-08002B2CF9AE}" pid="3" name="ContentTypeId">
    <vt:lpwstr>0x010100D02325EA30D9AA46B6FDAC4DB249F449</vt:lpwstr>
  </property>
  <property fmtid="{D5CDD505-2E9C-101B-9397-08002B2CF9AE}" pid="4" name="ComplianceAssetId">
    <vt:lpwstr/>
  </property>
  <property fmtid="{D5CDD505-2E9C-101B-9397-08002B2CF9AE}" pid="5" name="TemplateUrl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xd_Signature">
    <vt:bool>false</vt:bool>
  </property>
  <property fmtid="{D5CDD505-2E9C-101B-9397-08002B2CF9AE}" pid="9" name="GUID">
    <vt:lpwstr>39d75a87-296c-4a86-a1ee-84b123fd9d7a</vt:lpwstr>
  </property>
  <property fmtid="{D5CDD505-2E9C-101B-9397-08002B2CF9AE}" pid="10" name="SharedWithUsers">
    <vt:lpwstr/>
  </property>
  <property fmtid="{D5CDD505-2E9C-101B-9397-08002B2CF9AE}" pid="11" name="MediaServiceImageTags">
    <vt:lpwstr/>
  </property>
</Properties>
</file>